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Wiley Sharp Notes" sheetId="1" r:id="rId3"/>
    <sheet state="visible" name="$300k boat example" sheetId="2" r:id="rId4"/>
  </sheets>
  <definedNames/>
  <calcPr/>
</workbook>
</file>

<file path=xl/sharedStrings.xml><?xml version="1.0" encoding="utf-8"?>
<sst xmlns="http://schemas.openxmlformats.org/spreadsheetml/2006/main" count="105" uniqueCount="81">
  <si>
    <t>Total</t>
  </si>
  <si>
    <t>Yearly</t>
  </si>
  <si>
    <t>Monthly</t>
  </si>
  <si>
    <t>Boat Price</t>
  </si>
  <si>
    <t>Weekly Costs</t>
  </si>
  <si>
    <t>250000 - 300000</t>
  </si>
  <si>
    <t>10-20% down</t>
  </si>
  <si>
    <t>15-20 year or shorter</t>
  </si>
  <si>
    <t>mortgage people</t>
  </si>
  <si>
    <t>https://essexcredit.com/home/boat/rates/</t>
  </si>
  <si>
    <t>Monthly Costs</t>
  </si>
  <si>
    <t>Annual Costs**</t>
  </si>
  <si>
    <t xml:space="preserve"> Weekly Income</t>
  </si>
  <si>
    <t>Boat Loan/Mortgage</t>
  </si>
  <si>
    <t>Joe Flynn - new coast financial</t>
  </si>
  <si>
    <t>https://www.boatbanker.com/current-rates/</t>
  </si>
  <si>
    <t>Boat Insurance - not chartered</t>
  </si>
  <si>
    <t>$3k - $4k</t>
  </si>
  <si>
    <t>Cindy Lewis - Sterling and Associates</t>
  </si>
  <si>
    <t>Boat Insurance - chartered</t>
  </si>
  <si>
    <t>1.1-1.3% replacement value</t>
  </si>
  <si>
    <t>$4k - $5K</t>
  </si>
  <si>
    <t>Brian Rasmusen Denison Yacht Insurance</t>
  </si>
  <si>
    <t>Jen Myers - Yacht Closer Financial</t>
  </si>
  <si>
    <t>Boat Survey</t>
  </si>
  <si>
    <t>$1100-$1300 for boat survey and haulout</t>
  </si>
  <si>
    <t>FL surveyer Jonathan Sans for Catamarans, BVI surveyer Jeff Williams for South African Catamarans.</t>
  </si>
  <si>
    <t>Monthly Income</t>
  </si>
  <si>
    <t>Haulout</t>
  </si>
  <si>
    <t>Annual Gross Income</t>
  </si>
  <si>
    <t>$8-$13/ft for survey, $15-$18/ft for maintenance</t>
  </si>
  <si>
    <t>Dockage</t>
  </si>
  <si>
    <t>Clearing House Membership(s)</t>
  </si>
  <si>
    <t>$100-$150/month</t>
  </si>
  <si>
    <t>plus 1% of the $ that they escrow for you.</t>
  </si>
  <si>
    <t>Crew</t>
  </si>
  <si>
    <t>Weeks Chartered</t>
  </si>
  <si>
    <t>either pay when boat is working = $2100-$2600, or put crew on salary = $50k for both plus whatever tip they make, or combo trip pay and salary = $30k salary and $1100 per trip on top</t>
  </si>
  <si>
    <t>Boat Maintenance</t>
  </si>
  <si>
    <t>Months Chartered</t>
  </si>
  <si>
    <t xml:space="preserve">$25000 to $28000 per year </t>
  </si>
  <si>
    <t>Months Left in Year</t>
  </si>
  <si>
    <t>Boat Re-fit</t>
  </si>
  <si>
    <t>Charter income</t>
  </si>
  <si>
    <t>20000 maybe 30-50K</t>
  </si>
  <si>
    <t>Provisioning</t>
  </si>
  <si>
    <t>$1.4-$1.6K for 6 pack, or $1.6K - $2.0k for $18k-$22k/week boat</t>
  </si>
  <si>
    <t>Captain's Certifications/Training</t>
  </si>
  <si>
    <t>chef = stcw95 every 5 years, captain = stcw95 and on US Boat have to have a USCG captains license (6 pack works, but phazing out so need tonage rating more than the vessel you're operating)</t>
  </si>
  <si>
    <t>Charter Management</t>
  </si>
  <si>
    <t>Avg. Income per guest</t>
  </si>
  <si>
    <t>Avg. Income per week</t>
  </si>
  <si>
    <t>Avg. Income per month</t>
  </si>
  <si>
    <t>Avg. Income per year</t>
  </si>
  <si>
    <t>Pisces - $13.5k/week</t>
  </si>
  <si>
    <t>15% to broker that books the week</t>
  </si>
  <si>
    <t>1% for clearing house after 15% brokerage fees.</t>
  </si>
  <si>
    <t>Wiley - 10% after all of that</t>
  </si>
  <si>
    <t>Trip run cost:</t>
  </si>
  <si>
    <t>Diesel</t>
  </si>
  <si>
    <t>Interior cleaner</t>
  </si>
  <si>
    <t>Mooring balls</t>
  </si>
  <si>
    <t>custom fees</t>
  </si>
  <si>
    <t>ice</t>
  </si>
  <si>
    <t>not provisioning</t>
  </si>
  <si>
    <t>not crew pay</t>
  </si>
  <si>
    <t>Gross</t>
  </si>
  <si>
    <t>Boat loan*</t>
  </si>
  <si>
    <t>Net</t>
  </si>
  <si>
    <t>Boat Insurance</t>
  </si>
  <si>
    <t>Net if I was captain?...I'd only need a cook so I cut the crew cost in half</t>
  </si>
  <si>
    <t>Broker fee</t>
  </si>
  <si>
    <t>Net if owner/operator?</t>
  </si>
  <si>
    <t>Clearing House</t>
  </si>
  <si>
    <t>Trip run costs</t>
  </si>
  <si>
    <t>**Boat Maintenance shouldn't really be tied to # of Charters in a year...I don't think. You can play with this number.</t>
  </si>
  <si>
    <t>Totals:</t>
  </si>
  <si>
    <t>*Based off of a $240,000 loan at 5% For 15 years. This is one of the highest interest rates and least amount of time that I found. Increase the time, decrease the interest rate and the monthly payment drops</t>
  </si>
  <si>
    <t>What if I sold Charters without a Broker?</t>
  </si>
  <si>
    <t>Annual Income**</t>
  </si>
  <si>
    <t>Difference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</si>
</sst>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4">
    <font>
      <sz val="10.0"/>
      <color rgb="FF000000"/>
      <name val="Arial"/>
    </font>
    <font/>
    <font>
      <u/>
      <color rgb="FF0000FF"/>
    </font>
    <font>
      <b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12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/>
    </xf>
    <xf borderId="1" fillId="0" fontId="1" numFmtId="0" xfId="0" applyBorder="1" applyFont="1"/>
    <xf borderId="0" fillId="0" fontId="1" numFmtId="0" xfId="0" applyAlignment="1" applyFont="1">
      <alignment/>
    </xf>
    <xf borderId="2" fillId="0" fontId="1" numFmtId="0" xfId="0" applyAlignment="1" applyBorder="1" applyFont="1">
      <alignment/>
    </xf>
    <xf borderId="3" fillId="0" fontId="1" numFmtId="0" xfId="0" applyAlignment="1" applyBorder="1" applyFont="1">
      <alignment/>
    </xf>
    <xf borderId="0" fillId="0" fontId="2" numFmtId="0" xfId="0" applyAlignment="1" applyFont="1">
      <alignment/>
    </xf>
    <xf borderId="0" fillId="2" fontId="1" numFmtId="0" xfId="0" applyAlignment="1" applyFill="1" applyFont="1">
      <alignment/>
    </xf>
    <xf borderId="0" fillId="2" fontId="1" numFmtId="0" xfId="0" applyFont="1"/>
    <xf borderId="4" fillId="0" fontId="1" numFmtId="0" xfId="0" applyAlignment="1" applyBorder="1" applyFont="1">
      <alignment/>
    </xf>
    <xf borderId="5" fillId="0" fontId="1" numFmtId="0" xfId="0" applyBorder="1" applyFont="1"/>
    <xf borderId="0" fillId="0" fontId="1" numFmtId="164" xfId="0" applyAlignment="1" applyFont="1" applyNumberFormat="1">
      <alignment/>
    </xf>
    <xf borderId="6" fillId="0" fontId="1" numFmtId="0" xfId="0" applyBorder="1" applyFont="1"/>
    <xf borderId="0" fillId="2" fontId="1" numFmtId="165" xfId="0" applyAlignment="1" applyFont="1" applyNumberFormat="1">
      <alignment/>
    </xf>
    <xf borderId="0" fillId="2" fontId="1" numFmtId="165" xfId="0" applyFont="1" applyNumberFormat="1"/>
    <xf borderId="7" fillId="0" fontId="1" numFmtId="0" xfId="0" applyAlignment="1" applyBorder="1" applyFont="1">
      <alignment/>
    </xf>
    <xf borderId="0" fillId="0" fontId="1" numFmtId="165" xfId="0" applyFont="1" applyNumberFormat="1"/>
    <xf borderId="0" fillId="0" fontId="1" numFmtId="165" xfId="0" applyAlignment="1" applyFont="1" applyNumberFormat="1">
      <alignment/>
    </xf>
    <xf borderId="8" fillId="0" fontId="1" numFmtId="165" xfId="0" applyAlignment="1" applyBorder="1" applyFont="1" applyNumberFormat="1">
      <alignment/>
    </xf>
    <xf borderId="0" fillId="2" fontId="3" numFmtId="165" xfId="0" applyFont="1" applyNumberFormat="1"/>
    <xf borderId="0" fillId="2" fontId="3" numFmtId="0" xfId="0" applyAlignment="1" applyFont="1">
      <alignment/>
    </xf>
    <xf borderId="0" fillId="3" fontId="1" numFmtId="165" xfId="0" applyFill="1" applyFont="1" applyNumberFormat="1"/>
    <xf borderId="0" fillId="3" fontId="1" numFmtId="0" xfId="0" applyAlignment="1" applyFont="1">
      <alignment/>
    </xf>
    <xf borderId="8" fillId="0" fontId="1" numFmtId="165" xfId="0" applyBorder="1" applyFont="1" applyNumberFormat="1"/>
    <xf borderId="0" fillId="4" fontId="1" numFmtId="165" xfId="0" applyFill="1" applyFont="1" applyNumberFormat="1"/>
    <xf borderId="0" fillId="4" fontId="1" numFmtId="0" xfId="0" applyAlignment="1" applyFont="1">
      <alignment/>
    </xf>
    <xf borderId="9" fillId="0" fontId="1" numFmtId="0" xfId="0" applyAlignment="1" applyBorder="1" applyFont="1">
      <alignment/>
    </xf>
    <xf borderId="10" fillId="0" fontId="1" numFmtId="165" xfId="0" applyAlignment="1" applyBorder="1" applyFont="1" applyNumberFormat="1">
      <alignment/>
    </xf>
    <xf borderId="10" fillId="0" fontId="1" numFmtId="165" xfId="0" applyBorder="1" applyFont="1" applyNumberFormat="1"/>
    <xf borderId="11" fillId="0" fontId="1" numFmtId="165" xfId="0" applyAlignment="1" applyBorder="1" applyFont="1" applyNumberFormat="1">
      <alignment/>
    </xf>
    <xf borderId="0" fillId="0" fontId="3" numFmtId="0" xfId="0" applyAlignment="1" applyFont="1">
      <alignment/>
    </xf>
    <xf borderId="0" fillId="0" fontId="3" numFmtId="165" xfId="0" applyFont="1" applyNumberFormat="1"/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essexcredit.com/home/boat/rates/" TargetMode="External"/><Relationship Id="rId2" Type="http://schemas.openxmlformats.org/officeDocument/2006/relationships/hyperlink" Target="https://www.boatbanker.com/current-rates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7.14"/>
    <col customWidth="1" min="2" max="2" width="53.86"/>
    <col customWidth="1" min="4" max="4" width="15.57"/>
    <col customWidth="1" min="6" max="6" width="35.86"/>
    <col customWidth="1" min="7" max="7" width="32.0"/>
  </cols>
  <sheetData>
    <row r="1">
      <c r="B1" s="2" t="s">
        <v>0</v>
      </c>
      <c r="C1" s="2" t="s">
        <v>1</v>
      </c>
      <c r="D1" s="2" t="s">
        <v>2</v>
      </c>
    </row>
    <row r="2">
      <c r="A2" s="2" t="s">
        <v>3</v>
      </c>
      <c r="B2" s="2" t="s">
        <v>5</v>
      </c>
      <c r="E2" s="2" t="s">
        <v>6</v>
      </c>
      <c r="F2" s="2" t="s">
        <v>7</v>
      </c>
      <c r="G2" s="2" t="s">
        <v>8</v>
      </c>
      <c r="H2" s="5" t="s">
        <v>9</v>
      </c>
    </row>
    <row r="3">
      <c r="A3" s="2" t="s">
        <v>13</v>
      </c>
      <c r="G3" s="2" t="s">
        <v>14</v>
      </c>
      <c r="H3" s="5" t="s">
        <v>15</v>
      </c>
    </row>
    <row r="4">
      <c r="A4" s="2" t="s">
        <v>16</v>
      </c>
      <c r="C4" s="2" t="s">
        <v>17</v>
      </c>
      <c r="G4" s="2" t="s">
        <v>18</v>
      </c>
    </row>
    <row r="5">
      <c r="A5" s="2" t="s">
        <v>19</v>
      </c>
      <c r="B5" s="2" t="s">
        <v>20</v>
      </c>
      <c r="C5" s="2" t="s">
        <v>21</v>
      </c>
      <c r="F5" s="2" t="s">
        <v>22</v>
      </c>
      <c r="G5" s="2" t="s">
        <v>23</v>
      </c>
    </row>
    <row r="6">
      <c r="A6" s="2" t="s">
        <v>24</v>
      </c>
      <c r="B6" s="2" t="s">
        <v>25</v>
      </c>
      <c r="C6" s="2" t="s">
        <v>26</v>
      </c>
    </row>
    <row r="7">
      <c r="A7" s="2" t="s">
        <v>28</v>
      </c>
      <c r="B7" s="2" t="s">
        <v>30</v>
      </c>
    </row>
    <row r="8">
      <c r="A8" s="2" t="s">
        <v>31</v>
      </c>
    </row>
    <row r="9">
      <c r="A9" s="2" t="s">
        <v>32</v>
      </c>
      <c r="B9" s="2"/>
      <c r="D9" s="2" t="s">
        <v>33</v>
      </c>
      <c r="E9" s="2" t="s">
        <v>34</v>
      </c>
    </row>
    <row r="10">
      <c r="A10" s="2" t="s">
        <v>35</v>
      </c>
      <c r="B10" s="2" t="s">
        <v>37</v>
      </c>
    </row>
    <row r="11">
      <c r="A11" s="2" t="s">
        <v>38</v>
      </c>
      <c r="B11" s="2" t="s">
        <v>40</v>
      </c>
    </row>
    <row r="12">
      <c r="A12" s="2" t="s">
        <v>42</v>
      </c>
      <c r="B12" s="2" t="s">
        <v>44</v>
      </c>
    </row>
    <row r="13">
      <c r="A13" s="2" t="s">
        <v>45</v>
      </c>
      <c r="B13" s="2" t="s">
        <v>46</v>
      </c>
    </row>
    <row r="15">
      <c r="A15" s="2" t="s">
        <v>47</v>
      </c>
      <c r="B15" s="2" t="s">
        <v>48</v>
      </c>
    </row>
    <row r="16">
      <c r="A16" s="2" t="s">
        <v>49</v>
      </c>
    </row>
    <row r="18">
      <c r="A18" s="2" t="s">
        <v>50</v>
      </c>
    </row>
    <row r="19">
      <c r="A19" s="2" t="s">
        <v>51</v>
      </c>
    </row>
    <row r="20">
      <c r="A20" s="2" t="s">
        <v>52</v>
      </c>
    </row>
    <row r="21">
      <c r="A21" s="2" t="s">
        <v>53</v>
      </c>
    </row>
    <row r="34">
      <c r="A34" s="2" t="s">
        <v>54</v>
      </c>
      <c r="B34" s="2" t="s">
        <v>55</v>
      </c>
      <c r="C34" s="2" t="s">
        <v>56</v>
      </c>
    </row>
    <row r="35">
      <c r="A35" s="2" t="s">
        <v>57</v>
      </c>
    </row>
    <row r="36">
      <c r="A36" s="2" t="s">
        <v>58</v>
      </c>
      <c r="B36" s="10">
        <v>1000.0</v>
      </c>
    </row>
    <row r="37">
      <c r="A37" s="2" t="s">
        <v>59</v>
      </c>
    </row>
    <row r="38">
      <c r="A38" s="2" t="s">
        <v>31</v>
      </c>
    </row>
    <row r="39">
      <c r="A39" s="2" t="s">
        <v>60</v>
      </c>
    </row>
    <row r="40">
      <c r="A40" s="2" t="s">
        <v>61</v>
      </c>
    </row>
    <row r="41">
      <c r="A41" s="2" t="s">
        <v>62</v>
      </c>
    </row>
    <row r="42">
      <c r="A42" s="2" t="s">
        <v>63</v>
      </c>
    </row>
    <row r="43">
      <c r="A43" s="2" t="s">
        <v>64</v>
      </c>
    </row>
    <row r="44">
      <c r="A44" s="2" t="s">
        <v>65</v>
      </c>
    </row>
  </sheetData>
  <hyperlinks>
    <hyperlink r:id="rId1" ref="H2"/>
    <hyperlink r:id="rId2" ref="H3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3.29"/>
    <col customWidth="1" min="7" max="7" width="20.29"/>
    <col customWidth="1" min="8" max="8" width="21.14"/>
    <col customWidth="1" min="9" max="9" width="15.43"/>
    <col customWidth="1" min="10" max="10" width="15.86"/>
    <col customWidth="1" min="11" max="11" width="17.0"/>
  </cols>
  <sheetData>
    <row r="1">
      <c r="A1" s="1"/>
      <c r="B1" s="3" t="s">
        <v>4</v>
      </c>
      <c r="C1" s="3" t="s">
        <v>10</v>
      </c>
      <c r="D1" s="4" t="s">
        <v>11</v>
      </c>
      <c r="E1" s="6" t="s">
        <v>12</v>
      </c>
      <c r="F1" s="6" t="s">
        <v>27</v>
      </c>
      <c r="G1" s="6" t="s">
        <v>29</v>
      </c>
      <c r="H1" s="7"/>
      <c r="I1" s="2" t="s">
        <v>36</v>
      </c>
      <c r="J1" s="2" t="s">
        <v>39</v>
      </c>
      <c r="K1" s="2" t="s">
        <v>41</v>
      </c>
    </row>
    <row r="2">
      <c r="A2" s="8" t="s">
        <v>43</v>
      </c>
      <c r="B2" s="9"/>
      <c r="C2" s="9"/>
      <c r="D2" s="11"/>
      <c r="E2" s="12">
        <v>13000.0</v>
      </c>
      <c r="F2" s="13">
        <f>E2*4</f>
        <v>52000</v>
      </c>
      <c r="G2" s="13">
        <f>J2*F2</f>
        <v>260000</v>
      </c>
      <c r="H2" s="6" t="s">
        <v>66</v>
      </c>
      <c r="I2" s="2">
        <v>20.0</v>
      </c>
      <c r="J2" s="2">
        <f>I2/4</f>
        <v>5</v>
      </c>
      <c r="K2">
        <f>12-J2</f>
        <v>7</v>
      </c>
    </row>
    <row r="3">
      <c r="A3" s="14" t="s">
        <v>67</v>
      </c>
      <c r="B3" s="15">
        <f t="shared" ref="B3:B4" si="2">C3/4</f>
        <v>474.475</v>
      </c>
      <c r="C3" s="16">
        <v>1897.9</v>
      </c>
      <c r="D3" s="17">
        <f t="shared" ref="D3:D4" si="3">C3*12</f>
        <v>22774.8</v>
      </c>
      <c r="E3" s="18">
        <f t="shared" ref="E3:G3" si="1">E2-B12</f>
        <v>3017.075</v>
      </c>
      <c r="F3" s="18">
        <f t="shared" si="1"/>
        <v>11918.3</v>
      </c>
      <c r="G3" s="18">
        <f t="shared" si="1"/>
        <v>42344.2</v>
      </c>
      <c r="H3" s="19" t="s">
        <v>68</v>
      </c>
    </row>
    <row r="4">
      <c r="A4" s="14" t="s">
        <v>69</v>
      </c>
      <c r="B4" s="15">
        <f t="shared" si="2"/>
        <v>104</v>
      </c>
      <c r="C4" s="16">
        <v>416.0</v>
      </c>
      <c r="D4" s="17">
        <f t="shared" si="3"/>
        <v>4992</v>
      </c>
      <c r="E4" s="20">
        <f t="shared" ref="E4:G4" si="4">E3+(B7*0.5)</f>
        <v>4017.075</v>
      </c>
      <c r="F4" s="20">
        <f t="shared" si="4"/>
        <v>15918.3</v>
      </c>
      <c r="G4" s="20">
        <f t="shared" si="4"/>
        <v>62344.2</v>
      </c>
      <c r="H4" s="21" t="s">
        <v>70</v>
      </c>
    </row>
    <row r="5">
      <c r="A5" s="14" t="s">
        <v>71</v>
      </c>
      <c r="B5" s="15">
        <f>0.15*E2</f>
        <v>1950</v>
      </c>
      <c r="C5" s="15">
        <f>B5*4</f>
        <v>7800</v>
      </c>
      <c r="D5" s="22">
        <f>C5*J2</f>
        <v>39000</v>
      </c>
      <c r="E5" s="23">
        <f t="shared" ref="E5:G5" si="5">E3+B7</f>
        <v>5017.075</v>
      </c>
      <c r="F5" s="23">
        <f t="shared" si="5"/>
        <v>19918.3</v>
      </c>
      <c r="G5" s="23">
        <f t="shared" si="5"/>
        <v>82344.2</v>
      </c>
      <c r="H5" s="24" t="s">
        <v>72</v>
      </c>
    </row>
    <row r="6">
      <c r="A6" s="14" t="s">
        <v>73</v>
      </c>
      <c r="B6" s="15">
        <f>0.01*(E2-B5)</f>
        <v>110.5</v>
      </c>
      <c r="C6" s="15">
        <f>150+(B6*4)</f>
        <v>592</v>
      </c>
      <c r="D6" s="22">
        <f>(C6*J2)+(150*K2)</f>
        <v>4010</v>
      </c>
      <c r="E6" s="15"/>
      <c r="F6" s="15"/>
    </row>
    <row r="7">
      <c r="A7" s="14" t="s">
        <v>35</v>
      </c>
      <c r="B7" s="16">
        <v>2000.0</v>
      </c>
      <c r="C7" s="15">
        <f t="shared" ref="C7:C11" si="6">B7*4</f>
        <v>8000</v>
      </c>
      <c r="D7" s="22">
        <f>C7*J2</f>
        <v>40000</v>
      </c>
      <c r="E7" s="15"/>
      <c r="F7" s="15"/>
    </row>
    <row r="8">
      <c r="A8" s="14" t="s">
        <v>49</v>
      </c>
      <c r="B8" s="15">
        <f>0.1*(E2-(B5+B6))</f>
        <v>1093.95</v>
      </c>
      <c r="C8" s="15">
        <f t="shared" si="6"/>
        <v>4375.8</v>
      </c>
      <c r="D8" s="22">
        <f>C8*J2</f>
        <v>21879</v>
      </c>
      <c r="E8" s="15"/>
      <c r="F8" s="15"/>
    </row>
    <row r="9">
      <c r="A9" s="14" t="s">
        <v>74</v>
      </c>
      <c r="B9" s="16">
        <v>1250.0</v>
      </c>
      <c r="C9" s="15">
        <f t="shared" si="6"/>
        <v>5000</v>
      </c>
      <c r="D9" s="22">
        <f>C9*J2</f>
        <v>25000</v>
      </c>
      <c r="E9" s="15"/>
      <c r="F9" s="15"/>
      <c r="G9" s="2"/>
      <c r="H9" s="2"/>
    </row>
    <row r="10">
      <c r="A10" s="14" t="s">
        <v>45</v>
      </c>
      <c r="B10" s="16">
        <v>1600.0</v>
      </c>
      <c r="C10" s="15">
        <f t="shared" si="6"/>
        <v>6400</v>
      </c>
      <c r="D10" s="22">
        <f>C10*J2</f>
        <v>32000</v>
      </c>
      <c r="E10" s="15"/>
      <c r="F10" s="15"/>
    </row>
    <row r="11">
      <c r="A11" s="25" t="s">
        <v>38</v>
      </c>
      <c r="B11" s="26">
        <v>1400.0</v>
      </c>
      <c r="C11" s="27">
        <f t="shared" si="6"/>
        <v>5600</v>
      </c>
      <c r="D11" s="28">
        <f>C11*J2</f>
        <v>28000</v>
      </c>
      <c r="E11" s="16" t="s">
        <v>75</v>
      </c>
      <c r="F11" s="15"/>
    </row>
    <row r="12">
      <c r="A12" s="29" t="s">
        <v>76</v>
      </c>
      <c r="B12" s="30">
        <f t="shared" ref="B12:D12" si="7">SUM(B3:B11)</f>
        <v>9982.925</v>
      </c>
      <c r="C12" s="30">
        <f t="shared" si="7"/>
        <v>40081.7</v>
      </c>
      <c r="D12" s="30">
        <f t="shared" si="7"/>
        <v>217655.8</v>
      </c>
      <c r="E12" s="15"/>
      <c r="F12" s="15"/>
    </row>
    <row r="13">
      <c r="B13" s="15"/>
      <c r="C13" s="15"/>
      <c r="D13" s="15"/>
      <c r="E13" s="15"/>
      <c r="F13" s="15"/>
    </row>
    <row r="14">
      <c r="A14" s="2" t="s">
        <v>77</v>
      </c>
      <c r="B14" s="15"/>
      <c r="C14" s="15"/>
      <c r="D14" s="15"/>
      <c r="E14" s="15"/>
      <c r="F14" s="15"/>
    </row>
    <row r="15">
      <c r="A15" s="2"/>
      <c r="B15" s="15"/>
      <c r="C15" s="15"/>
      <c r="D15" s="15"/>
      <c r="E15" s="15"/>
      <c r="F15" s="15"/>
    </row>
    <row r="16">
      <c r="B16" s="15"/>
      <c r="C16" s="15"/>
      <c r="D16" s="15"/>
      <c r="E16" s="15"/>
      <c r="F16" s="15"/>
    </row>
    <row r="17">
      <c r="A17" s="31" t="s">
        <v>78</v>
      </c>
    </row>
    <row r="18">
      <c r="A18" s="1"/>
      <c r="B18" s="3" t="s">
        <v>4</v>
      </c>
      <c r="C18" s="3" t="s">
        <v>10</v>
      </c>
      <c r="D18" s="4" t="s">
        <v>11</v>
      </c>
      <c r="E18" s="6" t="s">
        <v>12</v>
      </c>
      <c r="F18" s="6" t="s">
        <v>27</v>
      </c>
      <c r="G18" s="6" t="s">
        <v>79</v>
      </c>
      <c r="I18" s="2" t="s">
        <v>80</v>
      </c>
    </row>
    <row r="19">
      <c r="A19" s="8" t="s">
        <v>43</v>
      </c>
      <c r="B19" s="9"/>
      <c r="C19" s="9"/>
      <c r="D19" s="11"/>
      <c r="E19" s="12">
        <f>E2</f>
        <v>13000</v>
      </c>
      <c r="F19" s="13">
        <f>E19*4</f>
        <v>52000</v>
      </c>
      <c r="G19" s="13">
        <f>J2*F19</f>
        <v>260000</v>
      </c>
      <c r="H19" s="2" t="s">
        <v>66</v>
      </c>
    </row>
    <row r="20">
      <c r="A20" s="14" t="s">
        <v>67</v>
      </c>
      <c r="B20" s="15">
        <f t="shared" ref="B20:B21" si="9">C20/4</f>
        <v>474.475</v>
      </c>
      <c r="C20" s="16">
        <f t="shared" ref="C20:C21" si="10">C3</f>
        <v>1897.9</v>
      </c>
      <c r="D20" s="17">
        <f t="shared" ref="D20:D21" si="11">C20*12</f>
        <v>22774.8</v>
      </c>
      <c r="E20" s="18">
        <f t="shared" ref="E20:G20" si="8">E19-B28</f>
        <v>4754.525</v>
      </c>
      <c r="F20" s="18">
        <f t="shared" si="8"/>
        <v>18868.1</v>
      </c>
      <c r="G20" s="18">
        <f t="shared" si="8"/>
        <v>77093.2</v>
      </c>
      <c r="H20" s="19" t="s">
        <v>68</v>
      </c>
      <c r="I20" s="15">
        <f>G20-G3</f>
        <v>34749</v>
      </c>
    </row>
    <row r="21">
      <c r="A21" s="14" t="s">
        <v>69</v>
      </c>
      <c r="B21" s="15">
        <f t="shared" si="9"/>
        <v>104</v>
      </c>
      <c r="C21" s="16">
        <f t="shared" si="10"/>
        <v>416</v>
      </c>
      <c r="D21" s="17">
        <f t="shared" si="11"/>
        <v>4992</v>
      </c>
      <c r="E21" s="20">
        <f t="shared" ref="E21:G21" si="12">E20+(B23*0.5)</f>
        <v>5754.525</v>
      </c>
      <c r="F21" s="20">
        <f t="shared" si="12"/>
        <v>22868.1</v>
      </c>
      <c r="G21" s="20">
        <f t="shared" si="12"/>
        <v>97093.2</v>
      </c>
      <c r="H21" s="21" t="s">
        <v>70</v>
      </c>
    </row>
    <row r="22">
      <c r="A22" s="14" t="s">
        <v>73</v>
      </c>
      <c r="B22" s="15">
        <f>0.01*(E19)</f>
        <v>130</v>
      </c>
      <c r="C22" s="15">
        <f>150+(B22*4)</f>
        <v>670</v>
      </c>
      <c r="D22" s="22">
        <f>(C22*J2)+(150*K2)</f>
        <v>4400</v>
      </c>
      <c r="E22" s="23">
        <f t="shared" ref="E22:G22" si="13">E20+B23</f>
        <v>6754.525</v>
      </c>
      <c r="F22" s="23">
        <f t="shared" si="13"/>
        <v>26868.1</v>
      </c>
      <c r="G22" s="23">
        <f t="shared" si="13"/>
        <v>117093.2</v>
      </c>
      <c r="H22" s="24" t="s">
        <v>72</v>
      </c>
    </row>
    <row r="23">
      <c r="A23" s="14" t="s">
        <v>35</v>
      </c>
      <c r="B23" s="16">
        <f>B7</f>
        <v>2000</v>
      </c>
      <c r="C23" s="15">
        <f t="shared" ref="C23:C27" si="14">B23*4</f>
        <v>8000</v>
      </c>
      <c r="D23" s="22">
        <f>C23*J2</f>
        <v>40000</v>
      </c>
    </row>
    <row r="24">
      <c r="A24" s="14" t="s">
        <v>49</v>
      </c>
      <c r="B24" s="15">
        <f>0.1*(E19-B22)</f>
        <v>1287</v>
      </c>
      <c r="C24" s="15">
        <f t="shared" si="14"/>
        <v>5148</v>
      </c>
      <c r="D24" s="22">
        <f>C24*J2</f>
        <v>25740</v>
      </c>
    </row>
    <row r="25">
      <c r="A25" s="14" t="s">
        <v>74</v>
      </c>
      <c r="B25" s="16">
        <f t="shared" ref="B25:B27" si="15">B9</f>
        <v>1250</v>
      </c>
      <c r="C25" s="15">
        <f t="shared" si="14"/>
        <v>5000</v>
      </c>
      <c r="D25" s="22">
        <f>C25*J2</f>
        <v>25000</v>
      </c>
    </row>
    <row r="26">
      <c r="A26" s="14" t="s">
        <v>45</v>
      </c>
      <c r="B26" s="16">
        <f t="shared" si="15"/>
        <v>1600</v>
      </c>
      <c r="C26" s="15">
        <f t="shared" si="14"/>
        <v>6400</v>
      </c>
      <c r="D26" s="22">
        <f>C26*J2</f>
        <v>32000</v>
      </c>
    </row>
    <row r="27">
      <c r="A27" s="25" t="s">
        <v>38</v>
      </c>
      <c r="B27" s="26">
        <f t="shared" si="15"/>
        <v>1400</v>
      </c>
      <c r="C27" s="27">
        <f t="shared" si="14"/>
        <v>5600</v>
      </c>
      <c r="D27" s="28">
        <f>C27*J2</f>
        <v>28000</v>
      </c>
    </row>
    <row r="28">
      <c r="A28" s="29" t="s">
        <v>76</v>
      </c>
      <c r="B28" s="30">
        <f t="shared" ref="B28:D28" si="16">SUM(B20:B27)</f>
        <v>8245.475</v>
      </c>
      <c r="C28" s="30">
        <f t="shared" si="16"/>
        <v>33131.9</v>
      </c>
      <c r="D28" s="30">
        <f t="shared" si="16"/>
        <v>182906.8</v>
      </c>
    </row>
  </sheetData>
  <mergeCells count="1">
    <mergeCell ref="A17:H17"/>
  </mergeCells>
  <drawing r:id="rId1"/>
</worksheet>
</file>